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tabRatio="463" activeTab="1"/>
  </bookViews>
  <sheets>
    <sheet name="Sheet1--Line Item and Program" sheetId="2" r:id="rId1"/>
    <sheet name="Sheet2--Program with New Servic" sheetId="8" r:id="rId2"/>
    <sheet name="Sheet3--Salary Increase" sheetId="9" r:id="rId3"/>
  </sheets>
  <calcPr calcId="145621"/>
</workbook>
</file>

<file path=xl/calcChain.xml><?xml version="1.0" encoding="utf-8"?>
<calcChain xmlns="http://schemas.openxmlformats.org/spreadsheetml/2006/main">
  <c r="G4" i="9" l="1"/>
  <c r="J20" i="9"/>
  <c r="F20" i="9" s="1"/>
  <c r="B11" i="9"/>
  <c r="B12" i="9" s="1"/>
  <c r="J10" i="9"/>
  <c r="J13" i="9" s="1"/>
  <c r="I10" i="9"/>
  <c r="I13" i="9" s="1"/>
  <c r="H10" i="9"/>
  <c r="H13" i="9" s="1"/>
  <c r="G10" i="9"/>
  <c r="G13" i="9" s="1"/>
  <c r="J8" i="9"/>
  <c r="B8" i="9"/>
  <c r="B18" i="9" s="1"/>
  <c r="I7" i="9"/>
  <c r="H7" i="9"/>
  <c r="G7" i="9"/>
  <c r="I6" i="9"/>
  <c r="H6" i="9"/>
  <c r="G6" i="9"/>
  <c r="I5" i="9"/>
  <c r="H5" i="9"/>
  <c r="G5" i="9"/>
  <c r="I4" i="9"/>
  <c r="H4" i="9"/>
  <c r="F34" i="8"/>
  <c r="F32" i="8"/>
  <c r="F31" i="8"/>
  <c r="F30" i="8"/>
  <c r="F28" i="8"/>
  <c r="F26" i="8"/>
  <c r="F24" i="8"/>
  <c r="G4" i="8"/>
  <c r="H4" i="8"/>
  <c r="I4" i="8"/>
  <c r="G5" i="8"/>
  <c r="H5" i="8"/>
  <c r="I5" i="8"/>
  <c r="G6" i="8"/>
  <c r="H6" i="8"/>
  <c r="I6" i="8"/>
  <c r="G7" i="8"/>
  <c r="H7" i="8"/>
  <c r="I7" i="8"/>
  <c r="B8" i="8"/>
  <c r="B14" i="8" s="1"/>
  <c r="J8" i="8"/>
  <c r="G10" i="8"/>
  <c r="G11" i="8" s="1"/>
  <c r="H10" i="8"/>
  <c r="I10" i="8"/>
  <c r="I11" i="8" s="1"/>
  <c r="J10" i="8"/>
  <c r="J11" i="8" s="1"/>
  <c r="J12" i="8" s="1"/>
  <c r="B11" i="8"/>
  <c r="B12" i="8" s="1"/>
  <c r="J16" i="8"/>
  <c r="F16" i="8" s="1"/>
  <c r="F5" i="9" l="1"/>
  <c r="F10" i="9"/>
  <c r="B21" i="9"/>
  <c r="H8" i="9"/>
  <c r="F13" i="9"/>
  <c r="G8" i="9"/>
  <c r="G11" i="9"/>
  <c r="F7" i="9"/>
  <c r="H11" i="9"/>
  <c r="H14" i="9" s="1"/>
  <c r="I8" i="9"/>
  <c r="F6" i="9"/>
  <c r="I11" i="9"/>
  <c r="I14" i="9" s="1"/>
  <c r="F4" i="9"/>
  <c r="J11" i="9"/>
  <c r="J18" i="9"/>
  <c r="F6" i="8"/>
  <c r="I8" i="8"/>
  <c r="I14" i="8" s="1"/>
  <c r="B17" i="8"/>
  <c r="F5" i="8"/>
  <c r="G8" i="8"/>
  <c r="G14" i="8" s="1"/>
  <c r="F7" i="8"/>
  <c r="H8" i="8"/>
  <c r="H14" i="8" s="1"/>
  <c r="F10" i="8"/>
  <c r="F4" i="8"/>
  <c r="G12" i="8"/>
  <c r="J14" i="8"/>
  <c r="J17" i="8" s="1"/>
  <c r="I12" i="8"/>
  <c r="H11" i="8"/>
  <c r="H12" i="8" s="1"/>
  <c r="H18" i="9" l="1"/>
  <c r="I18" i="9"/>
  <c r="G18" i="9"/>
  <c r="I15" i="9"/>
  <c r="H15" i="9"/>
  <c r="H21" i="9" s="1"/>
  <c r="G14" i="9"/>
  <c r="G15" i="9" s="1"/>
  <c r="J14" i="9"/>
  <c r="F11" i="9"/>
  <c r="F8" i="9"/>
  <c r="H17" i="8"/>
  <c r="I17" i="8"/>
  <c r="F8" i="8"/>
  <c r="G17" i="8"/>
  <c r="F14" i="8"/>
  <c r="F11" i="8"/>
  <c r="F12" i="8" s="1"/>
  <c r="I6" i="2"/>
  <c r="F6" i="2"/>
  <c r="H6" i="2"/>
  <c r="G6" i="2"/>
  <c r="I5" i="2"/>
  <c r="H5" i="2"/>
  <c r="G5" i="2"/>
  <c r="I7" i="2"/>
  <c r="H7" i="2"/>
  <c r="G7" i="2"/>
  <c r="I4" i="2"/>
  <c r="H4" i="2"/>
  <c r="G4" i="2"/>
  <c r="F11" i="2"/>
  <c r="F10" i="2"/>
  <c r="F7" i="2"/>
  <c r="I10" i="2"/>
  <c r="H10" i="2"/>
  <c r="G10" i="2"/>
  <c r="J15" i="9" l="1"/>
  <c r="J21" i="9" s="1"/>
  <c r="F18" i="9"/>
  <c r="G21" i="9"/>
  <c r="I21" i="9"/>
  <c r="F14" i="9"/>
  <c r="F15" i="9" s="1"/>
  <c r="F17" i="8"/>
  <c r="F5" i="2"/>
  <c r="F4" i="2"/>
  <c r="H12" i="2"/>
  <c r="I8" i="2"/>
  <c r="I14" i="2" s="1"/>
  <c r="H8" i="2"/>
  <c r="H14" i="2" s="1"/>
  <c r="G8" i="2"/>
  <c r="G14" i="2" s="1"/>
  <c r="I11" i="2"/>
  <c r="I12" i="2" s="1"/>
  <c r="H11" i="2"/>
  <c r="G11" i="2"/>
  <c r="G12" i="2" s="1"/>
  <c r="F12" i="2"/>
  <c r="B16" i="2"/>
  <c r="B14" i="2"/>
  <c r="B11" i="2"/>
  <c r="B8" i="2"/>
  <c r="B12" i="2"/>
  <c r="F21" i="9" l="1"/>
  <c r="F8" i="2"/>
  <c r="I16" i="2"/>
  <c r="F14" i="2"/>
  <c r="H16" i="2"/>
  <c r="G16" i="2"/>
  <c r="F16" i="2" l="1"/>
</calcChain>
</file>

<file path=xl/comments1.xml><?xml version="1.0" encoding="utf-8"?>
<comments xmlns="http://schemas.openxmlformats.org/spreadsheetml/2006/main">
  <authors>
    <author>Renee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$2403.54 redistributed to Career Club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$2403.54 redistributed to Career Club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Librarian $3403.08
Para $924
Assistant $480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Contributions from Friends of the Library and local businesses.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$2403.54 distributed to Career Club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$2403.54 distributed to Career Club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Librarian $3403.08
Para $924
Assistant $480</t>
        </r>
      </text>
    </comment>
    <comment ref="J35" authorId="0">
      <text>
        <r>
          <rPr>
            <sz val="9"/>
            <color indexed="81"/>
            <rFont val="Tahoma"/>
            <family val="2"/>
          </rPr>
          <t xml:space="preserve">Contribution from Burlington businesses and Friends of the Library
</t>
        </r>
      </text>
    </comment>
  </commentList>
</comments>
</file>

<file path=xl/sharedStrings.xml><?xml version="1.0" encoding="utf-8"?>
<sst xmlns="http://schemas.openxmlformats.org/spreadsheetml/2006/main" count="106" uniqueCount="31">
  <si>
    <t>Line Item Budget</t>
  </si>
  <si>
    <t>Expenses</t>
  </si>
  <si>
    <t>Totals</t>
  </si>
  <si>
    <t>Subscriptions &amp; Books</t>
  </si>
  <si>
    <t>Supplies</t>
  </si>
  <si>
    <t>Phone, Fax, Postage</t>
  </si>
  <si>
    <t>Staff Travel</t>
  </si>
  <si>
    <t>Salaries</t>
  </si>
  <si>
    <t>Subtotal</t>
  </si>
  <si>
    <t>Fringe Benefits @ 38%</t>
  </si>
  <si>
    <t>Organizational Overhead @21% of non-salary</t>
  </si>
  <si>
    <t>Total</t>
  </si>
  <si>
    <t>Program Budget</t>
  </si>
  <si>
    <t>Collection Development</t>
  </si>
  <si>
    <t>Reference Service</t>
  </si>
  <si>
    <t>Technology Center</t>
  </si>
  <si>
    <t>Program Budget with New Service</t>
  </si>
  <si>
    <t>Supplemental Income from External Sources</t>
  </si>
  <si>
    <t>Expenses &amp; Income</t>
  </si>
  <si>
    <r>
      <rPr>
        <sz val="11"/>
        <color theme="1"/>
        <rFont val="Arial"/>
        <family val="2"/>
      </rPr>
      <t>New Service</t>
    </r>
    <r>
      <rPr>
        <b/>
        <sz val="11"/>
        <color theme="1"/>
        <rFont val="Arial"/>
        <family val="2"/>
      </rPr>
      <t>: Career Club</t>
    </r>
  </si>
  <si>
    <t>Cost/Benefit Analysis for New Service</t>
  </si>
  <si>
    <t>Supplemental Income</t>
  </si>
  <si>
    <t>Subtotal Benefits</t>
  </si>
  <si>
    <t>Total Analysis</t>
  </si>
  <si>
    <t>Costs and Benefits</t>
  </si>
  <si>
    <t>Subtotal Costs</t>
  </si>
  <si>
    <t>Increase in budget from tax base</t>
  </si>
  <si>
    <t>Increase in budget from circulation &amp; attendance</t>
  </si>
  <si>
    <t>Program Budget with Salary Increase</t>
  </si>
  <si>
    <t>Salary Increase @ 3%</t>
  </si>
  <si>
    <t>Fringe Benefits Increase @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</si>
</sst>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0" fillId="0" borderId="0" xfId="0" applyBorder="1"/>
    <xf numFmtId="0" fontId="6" fillId="2" borderId="0" xfId="1" applyFont="1" applyBorder="1"/>
    <xf numFmtId="164" fontId="6" fillId="2" borderId="0" xfId="1" applyNumberFormat="1" applyFont="1" applyBorder="1"/>
    <xf numFmtId="0" fontId="6" fillId="2" borderId="1" xfId="1" applyFont="1" applyBorder="1"/>
    <xf numFmtId="164" fontId="6" fillId="2" borderId="1" xfId="1" applyNumberFormat="1" applyFont="1" applyBorder="1"/>
    <xf numFmtId="0" fontId="0" fillId="0" borderId="2" xfId="0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165" fontId="2" fillId="0" borderId="0" xfId="0" applyNumberFormat="1" applyFont="1" applyFill="1" applyBorder="1"/>
    <xf numFmtId="44" fontId="2" fillId="0" borderId="0" xfId="0" applyNumberFormat="1" applyFont="1" applyBorder="1"/>
    <xf numFmtId="44" fontId="6" fillId="2" borderId="0" xfId="1" applyNumberFormat="1" applyFont="1" applyBorder="1"/>
    <xf numFmtId="44" fontId="6" fillId="2" borderId="1" xfId="1" applyNumberFormat="1" applyFont="1" applyBorder="1"/>
    <xf numFmtId="44" fontId="4" fillId="0" borderId="0" xfId="0" applyNumberFormat="1" applyFont="1" applyBorder="1"/>
    <xf numFmtId="0" fontId="0" fillId="0" borderId="5" xfId="0" applyBorder="1"/>
    <xf numFmtId="44" fontId="2" fillId="0" borderId="0" xfId="0" applyNumberFormat="1" applyFont="1" applyBorder="1" applyAlignment="1">
      <alignment wrapText="1"/>
    </xf>
    <xf numFmtId="0" fontId="6" fillId="2" borderId="1" xfId="1" applyFont="1" applyBorder="1" applyAlignment="1">
      <alignment wrapText="1"/>
    </xf>
    <xf numFmtId="164" fontId="6" fillId="2" borderId="1" xfId="1" applyNumberFormat="1" applyFont="1" applyBorder="1" applyAlignment="1">
      <alignment wrapText="1"/>
    </xf>
    <xf numFmtId="44" fontId="2" fillId="0" borderId="0" xfId="0" applyNumberFormat="1" applyFont="1"/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">
    <cellStyle name="60% - Accent3" xfId="1" builtinId="40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29" sqref="J29"/>
    </sheetView>
  </sheetViews>
  <sheetFormatPr defaultRowHeight="15" x14ac:dyDescent="0.25"/>
  <cols>
    <col min="1" max="1" width="26.28515625" customWidth="1"/>
    <col min="2" max="2" width="15.5703125" customWidth="1"/>
    <col min="5" max="5" width="25.42578125" customWidth="1"/>
    <col min="6" max="9" width="18.7109375" customWidth="1"/>
  </cols>
  <sheetData>
    <row r="1" spans="1:11" x14ac:dyDescent="0.25">
      <c r="A1" s="23" t="s">
        <v>0</v>
      </c>
      <c r="B1" s="23"/>
      <c r="E1" s="23" t="s">
        <v>12</v>
      </c>
      <c r="F1" s="23"/>
      <c r="G1" s="23"/>
      <c r="H1" s="23"/>
      <c r="I1" s="23"/>
    </row>
    <row r="2" spans="1:11" ht="35.1" customHeight="1" x14ac:dyDescent="0.25">
      <c r="A2" s="11" t="s">
        <v>1</v>
      </c>
      <c r="B2" s="11" t="s">
        <v>2</v>
      </c>
      <c r="E2" s="11" t="s">
        <v>1</v>
      </c>
      <c r="F2" s="11" t="s">
        <v>2</v>
      </c>
      <c r="G2" s="12" t="s">
        <v>13</v>
      </c>
      <c r="H2" s="12" t="s">
        <v>14</v>
      </c>
      <c r="I2" s="12" t="s">
        <v>15</v>
      </c>
    </row>
    <row r="3" spans="1:11" x14ac:dyDescent="0.25">
      <c r="A3" s="1"/>
      <c r="B3" s="1"/>
      <c r="E3" s="1"/>
      <c r="F3" s="1"/>
      <c r="G3" s="5"/>
      <c r="H3" s="5"/>
      <c r="I3" s="5"/>
    </row>
    <row r="4" spans="1:11" x14ac:dyDescent="0.25">
      <c r="A4" s="1" t="s">
        <v>3</v>
      </c>
      <c r="B4" s="2">
        <v>156000</v>
      </c>
      <c r="E4" s="1" t="s">
        <v>3</v>
      </c>
      <c r="F4" s="2">
        <f>SUM(G4:I4)</f>
        <v>156000</v>
      </c>
      <c r="G4" s="14">
        <f>PRODUCT(B4*0.8)</f>
        <v>124800</v>
      </c>
      <c r="H4" s="14">
        <f>PRODUCT(B4*0.2)</f>
        <v>31200</v>
      </c>
      <c r="I4" s="14">
        <f>PRODUCT(B4*0)</f>
        <v>0</v>
      </c>
    </row>
    <row r="5" spans="1:11" x14ac:dyDescent="0.25">
      <c r="A5" s="1" t="s">
        <v>4</v>
      </c>
      <c r="B5" s="2">
        <v>9300</v>
      </c>
      <c r="E5" s="1" t="s">
        <v>4</v>
      </c>
      <c r="F5" s="2">
        <f>SUM(G5:I5)</f>
        <v>9300</v>
      </c>
      <c r="G5" s="14">
        <f>PRODUCT(B5*0.6)</f>
        <v>5580</v>
      </c>
      <c r="H5" s="14">
        <f>PRODUCT(B5*0.1)</f>
        <v>930</v>
      </c>
      <c r="I5" s="14">
        <f>PRODUCT(B5*0.3)</f>
        <v>2790</v>
      </c>
      <c r="K5" s="13"/>
    </row>
    <row r="6" spans="1:11" x14ac:dyDescent="0.25">
      <c r="A6" s="1" t="s">
        <v>5</v>
      </c>
      <c r="B6" s="2">
        <v>4500</v>
      </c>
      <c r="E6" s="1" t="s">
        <v>5</v>
      </c>
      <c r="F6" s="2">
        <f>SUM(G6:I6)</f>
        <v>4500</v>
      </c>
      <c r="G6" s="14">
        <f>PRODUCT(B6*0.35)</f>
        <v>1575</v>
      </c>
      <c r="H6" s="14">
        <f>PRODUCT(B6*0.6)</f>
        <v>2700</v>
      </c>
      <c r="I6" s="14">
        <f>PRODUCT(B6*0.05)</f>
        <v>225</v>
      </c>
    </row>
    <row r="7" spans="1:11" x14ac:dyDescent="0.25">
      <c r="A7" s="1" t="s">
        <v>6</v>
      </c>
      <c r="B7" s="2">
        <v>1200</v>
      </c>
      <c r="E7" s="1" t="s">
        <v>6</v>
      </c>
      <c r="F7" s="2">
        <f>SUM(G7:I7)</f>
        <v>1200</v>
      </c>
      <c r="G7" s="14">
        <f>PRODUCT(B7*0.1)</f>
        <v>120</v>
      </c>
      <c r="H7" s="14">
        <f>PRODUCT(B7*0.6)</f>
        <v>720</v>
      </c>
      <c r="I7" s="14">
        <f>PRODUCT(B7*0.3)</f>
        <v>360</v>
      </c>
    </row>
    <row r="8" spans="1:11" x14ac:dyDescent="0.25">
      <c r="A8" s="6" t="s">
        <v>8</v>
      </c>
      <c r="B8" s="7">
        <f>SUM(B4:B7)</f>
        <v>171000</v>
      </c>
      <c r="E8" s="6" t="s">
        <v>8</v>
      </c>
      <c r="F8" s="7">
        <f>SUM(F4:F7)</f>
        <v>171000</v>
      </c>
      <c r="G8" s="15">
        <f>SUM(G4:G7)</f>
        <v>132075</v>
      </c>
      <c r="H8" s="15">
        <f>SUM(H4:H7)</f>
        <v>35550</v>
      </c>
      <c r="I8" s="15">
        <f>SUM(I4:I7)</f>
        <v>3375</v>
      </c>
    </row>
    <row r="9" spans="1:11" x14ac:dyDescent="0.25">
      <c r="A9" s="1"/>
      <c r="B9" s="2"/>
      <c r="E9" s="1"/>
      <c r="F9" s="2"/>
      <c r="G9" s="14"/>
      <c r="H9" s="14"/>
      <c r="I9" s="14"/>
    </row>
    <row r="10" spans="1:11" x14ac:dyDescent="0.25">
      <c r="A10" s="1" t="s">
        <v>7</v>
      </c>
      <c r="B10" s="2">
        <v>107400</v>
      </c>
      <c r="E10" s="1" t="s">
        <v>7</v>
      </c>
      <c r="F10" s="2">
        <f>SUM(G10:I10)</f>
        <v>107400</v>
      </c>
      <c r="G10" s="14">
        <f>SUM((60500*0.45)+(27700*0.25)+(19200*0.7))</f>
        <v>47590</v>
      </c>
      <c r="H10" s="14">
        <f>SUM((60500*0.45)+(27700*0.5)+(19200*0.25))</f>
        <v>45875</v>
      </c>
      <c r="I10" s="14">
        <f>SUM((60500*0.1)+(27700*0.25)+(19200*0.05))</f>
        <v>13935</v>
      </c>
    </row>
    <row r="11" spans="1:11" x14ac:dyDescent="0.25">
      <c r="A11" s="1" t="s">
        <v>9</v>
      </c>
      <c r="B11" s="2">
        <f>PRODUCT(B10*0.38)</f>
        <v>40812</v>
      </c>
      <c r="E11" s="1" t="s">
        <v>9</v>
      </c>
      <c r="F11" s="2">
        <f>SUM(G11:I11)</f>
        <v>40812</v>
      </c>
      <c r="G11" s="14">
        <f>PRODUCT(G10*0.38)</f>
        <v>18084.2</v>
      </c>
      <c r="H11" s="14">
        <f>PRODUCT(H10*0.38)</f>
        <v>17432.5</v>
      </c>
      <c r="I11" s="14">
        <f>PRODUCT(I10*0.38)</f>
        <v>5295.3</v>
      </c>
    </row>
    <row r="12" spans="1:11" x14ac:dyDescent="0.25">
      <c r="A12" s="6" t="s">
        <v>8</v>
      </c>
      <c r="B12" s="7">
        <f>SUM(B10:B11)</f>
        <v>148212</v>
      </c>
      <c r="E12" s="6" t="s">
        <v>8</v>
      </c>
      <c r="F12" s="7">
        <f>SUM(F10:F11)</f>
        <v>148212</v>
      </c>
      <c r="G12" s="15">
        <f>SUM(G10:G11)</f>
        <v>65674.2</v>
      </c>
      <c r="H12" s="15">
        <f>SUM(H10:H11)</f>
        <v>63307.5</v>
      </c>
      <c r="I12" s="15">
        <f>SUM(I10:I11)</f>
        <v>19230.3</v>
      </c>
    </row>
    <row r="13" spans="1:11" x14ac:dyDescent="0.25">
      <c r="A13" s="1"/>
      <c r="B13" s="2"/>
      <c r="E13" s="1"/>
      <c r="F13" s="2"/>
      <c r="G13" s="14"/>
      <c r="H13" s="14"/>
      <c r="I13" s="14"/>
    </row>
    <row r="14" spans="1:11" ht="30" customHeight="1" x14ac:dyDescent="0.25">
      <c r="A14" s="3" t="s">
        <v>10</v>
      </c>
      <c r="B14" s="4">
        <f>PRODUCT(B8*0.21)</f>
        <v>35910</v>
      </c>
      <c r="E14" s="3" t="s">
        <v>10</v>
      </c>
      <c r="F14" s="4">
        <f>SUM(G14:I14)</f>
        <v>35910</v>
      </c>
      <c r="G14" s="14">
        <f>PRODUCT(G8*0.21)</f>
        <v>27735.75</v>
      </c>
      <c r="H14" s="14">
        <f>PRODUCT(H8*0.21)</f>
        <v>7465.5</v>
      </c>
      <c r="I14" s="14">
        <f>PRODUCT(I8*0.21)</f>
        <v>708.75</v>
      </c>
    </row>
    <row r="15" spans="1:11" x14ac:dyDescent="0.25">
      <c r="A15" s="1"/>
      <c r="B15" s="2"/>
      <c r="E15" s="1"/>
      <c r="F15" s="2"/>
      <c r="G15" s="14"/>
      <c r="H15" s="14"/>
      <c r="I15" s="14"/>
    </row>
    <row r="16" spans="1:11" ht="15.75" thickBot="1" x14ac:dyDescent="0.3">
      <c r="A16" s="8" t="s">
        <v>11</v>
      </c>
      <c r="B16" s="9">
        <f>SUM(B8,B12,B14)</f>
        <v>355122</v>
      </c>
      <c r="E16" s="8" t="s">
        <v>11</v>
      </c>
      <c r="F16" s="9">
        <f>SUM(F8,F12,F14)</f>
        <v>355122</v>
      </c>
      <c r="G16" s="16">
        <f>SUM(G8,G12,G14)</f>
        <v>225484.95</v>
      </c>
      <c r="H16" s="16">
        <f>SUM(H8,H12,H14)</f>
        <v>106323</v>
      </c>
      <c r="I16" s="16">
        <f>SUM(I8,I12,I14)</f>
        <v>23314.05</v>
      </c>
    </row>
    <row r="19" spans="5:6" x14ac:dyDescent="0.25">
      <c r="F19" s="5"/>
    </row>
    <row r="22" spans="5:6" x14ac:dyDescent="0.25">
      <c r="E22" s="10"/>
    </row>
  </sheetData>
  <mergeCells count="2">
    <mergeCell ref="A1:B1"/>
    <mergeCell ref="E1:I1"/>
  </mergeCells>
  <pageMargins left="0.7" right="0.7" top="0.75" bottom="0.75" header="0.3" footer="0.3"/>
  <pageSetup orientation="landscape" r:id="rId1"/>
  <ignoredErrors>
    <ignoredError sqref="I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L9" sqref="L9"/>
    </sheetView>
  </sheetViews>
  <sheetFormatPr defaultRowHeight="15" x14ac:dyDescent="0.25"/>
  <cols>
    <col min="1" max="1" width="26.28515625" customWidth="1"/>
    <col min="2" max="2" width="15.5703125" customWidth="1"/>
    <col min="5" max="5" width="25.42578125" customWidth="1"/>
    <col min="6" max="10" width="18.7109375" customWidth="1"/>
    <col min="12" max="12" width="12.140625" customWidth="1"/>
    <col min="13" max="13" width="11.140625" customWidth="1"/>
  </cols>
  <sheetData>
    <row r="1" spans="1:11" x14ac:dyDescent="0.25">
      <c r="A1" s="24" t="s">
        <v>0</v>
      </c>
      <c r="B1" s="24"/>
      <c r="E1" s="24" t="s">
        <v>16</v>
      </c>
      <c r="F1" s="24"/>
      <c r="G1" s="24"/>
      <c r="H1" s="24"/>
      <c r="I1" s="24"/>
      <c r="J1" s="24"/>
    </row>
    <row r="2" spans="1:11" ht="35.1" customHeight="1" x14ac:dyDescent="0.25">
      <c r="A2" s="11" t="s">
        <v>1</v>
      </c>
      <c r="B2" s="11" t="s">
        <v>2</v>
      </c>
      <c r="E2" s="11" t="s">
        <v>18</v>
      </c>
      <c r="F2" s="11" t="s">
        <v>2</v>
      </c>
      <c r="G2" s="12" t="s">
        <v>13</v>
      </c>
      <c r="H2" s="12" t="s">
        <v>14</v>
      </c>
      <c r="I2" s="12" t="s">
        <v>15</v>
      </c>
      <c r="J2" s="12" t="s">
        <v>19</v>
      </c>
    </row>
    <row r="3" spans="1:11" x14ac:dyDescent="0.25">
      <c r="A3" s="1"/>
      <c r="B3" s="1"/>
      <c r="E3" s="1"/>
      <c r="F3" s="1"/>
      <c r="G3" s="5"/>
      <c r="H3" s="5"/>
      <c r="I3" s="5"/>
      <c r="J3" s="18"/>
    </row>
    <row r="4" spans="1:11" x14ac:dyDescent="0.25">
      <c r="A4" s="1" t="s">
        <v>3</v>
      </c>
      <c r="B4" s="2">
        <v>156000</v>
      </c>
      <c r="E4" s="1" t="s">
        <v>3</v>
      </c>
      <c r="F4" s="14">
        <f>SUM(G4:J4)</f>
        <v>156000</v>
      </c>
      <c r="G4" s="14">
        <f>PRODUCT(B4*0.8)</f>
        <v>124800</v>
      </c>
      <c r="H4" s="14">
        <f>PRODUCT(B4*0.2)</f>
        <v>31200</v>
      </c>
      <c r="I4" s="17">
        <f>PRODUCT(B4*0)</f>
        <v>0</v>
      </c>
      <c r="J4" s="17">
        <v>0</v>
      </c>
    </row>
    <row r="5" spans="1:11" x14ac:dyDescent="0.25">
      <c r="A5" s="1" t="s">
        <v>4</v>
      </c>
      <c r="B5" s="2">
        <v>9300</v>
      </c>
      <c r="E5" s="1" t="s">
        <v>4</v>
      </c>
      <c r="F5" s="14">
        <f>SUM(G5:J5)</f>
        <v>9900</v>
      </c>
      <c r="G5" s="14">
        <f>PRODUCT(B5*0.6)</f>
        <v>5580</v>
      </c>
      <c r="H5" s="14">
        <f>PRODUCT(B5*0.1)</f>
        <v>930</v>
      </c>
      <c r="I5" s="17">
        <f>PRODUCT(B5*0.3)</f>
        <v>2790</v>
      </c>
      <c r="J5" s="17">
        <v>600</v>
      </c>
      <c r="K5" s="13"/>
    </row>
    <row r="6" spans="1:11" x14ac:dyDescent="0.25">
      <c r="A6" s="1" t="s">
        <v>5</v>
      </c>
      <c r="B6" s="2">
        <v>4500</v>
      </c>
      <c r="E6" s="1" t="s">
        <v>5</v>
      </c>
      <c r="F6" s="14">
        <f>SUM(G6:J6)</f>
        <v>4500</v>
      </c>
      <c r="G6" s="14">
        <f>PRODUCT(B6*0.35)</f>
        <v>1575</v>
      </c>
      <c r="H6" s="14">
        <f>PRODUCT(B6*0.6)</f>
        <v>2700</v>
      </c>
      <c r="I6" s="17">
        <f>PRODUCT(B6*0.05)</f>
        <v>225</v>
      </c>
      <c r="J6" s="17">
        <v>0</v>
      </c>
    </row>
    <row r="7" spans="1:11" x14ac:dyDescent="0.25">
      <c r="A7" s="1" t="s">
        <v>6</v>
      </c>
      <c r="B7" s="2">
        <v>1200</v>
      </c>
      <c r="E7" s="1" t="s">
        <v>6</v>
      </c>
      <c r="F7" s="14">
        <f>SUM(G7:J7)</f>
        <v>1200</v>
      </c>
      <c r="G7" s="14">
        <f>PRODUCT(B7*0.1)</f>
        <v>120</v>
      </c>
      <c r="H7" s="14">
        <f>PRODUCT(B7*0.6)</f>
        <v>720</v>
      </c>
      <c r="I7" s="17">
        <f>PRODUCT(B7*0.3)</f>
        <v>360</v>
      </c>
      <c r="J7" s="17">
        <v>0</v>
      </c>
    </row>
    <row r="8" spans="1:11" x14ac:dyDescent="0.25">
      <c r="A8" s="6" t="s">
        <v>8</v>
      </c>
      <c r="B8" s="7">
        <f>SUM(B4:B7)</f>
        <v>171000</v>
      </c>
      <c r="E8" s="6" t="s">
        <v>8</v>
      </c>
      <c r="F8" s="15">
        <f>SUM(F4:F7)</f>
        <v>171600</v>
      </c>
      <c r="G8" s="15">
        <f>SUM(G4:G7)</f>
        <v>132075</v>
      </c>
      <c r="H8" s="15">
        <f>SUM(H4:H7)</f>
        <v>35550</v>
      </c>
      <c r="I8" s="15">
        <f>SUM(I4:I7)</f>
        <v>3375</v>
      </c>
      <c r="J8" s="15">
        <f>SUM(J4:J7)</f>
        <v>600</v>
      </c>
    </row>
    <row r="9" spans="1:11" x14ac:dyDescent="0.25">
      <c r="A9" s="1"/>
      <c r="B9" s="2"/>
      <c r="E9" s="1"/>
      <c r="F9" s="14"/>
      <c r="G9" s="14"/>
      <c r="H9" s="14"/>
      <c r="I9" s="17"/>
      <c r="J9" s="17"/>
    </row>
    <row r="10" spans="1:11" x14ac:dyDescent="0.25">
      <c r="A10" s="1" t="s">
        <v>7</v>
      </c>
      <c r="B10" s="2">
        <v>107400</v>
      </c>
      <c r="E10" s="1" t="s">
        <v>7</v>
      </c>
      <c r="F10" s="14">
        <f>SUM(G10:J10)</f>
        <v>107400</v>
      </c>
      <c r="G10" s="14">
        <f>SUM((60500*0.45)+(27700*0.25)+(19200*0.7)-2403.54)</f>
        <v>45186.46</v>
      </c>
      <c r="H10" s="14">
        <f>SUM((60500*0.45)+(27700*0.5)+(19200*0.25)-2403.54)</f>
        <v>43471.46</v>
      </c>
      <c r="I10" s="17">
        <f>SUM((60500*0.1)+(27700*0.25)+(19200*0.05))</f>
        <v>13935</v>
      </c>
      <c r="J10" s="17">
        <f>SUM(3403.08+924+480)</f>
        <v>4807.08</v>
      </c>
    </row>
    <row r="11" spans="1:11" x14ac:dyDescent="0.25">
      <c r="A11" s="1" t="s">
        <v>9</v>
      </c>
      <c r="B11" s="2">
        <f>PRODUCT(B10*0.38)</f>
        <v>40812</v>
      </c>
      <c r="E11" s="1" t="s">
        <v>9</v>
      </c>
      <c r="F11" s="14">
        <f>SUM(G11:J11)</f>
        <v>40812.000000000007</v>
      </c>
      <c r="G11" s="14">
        <f>PRODUCT(G10*0.38)</f>
        <v>17170.854800000001</v>
      </c>
      <c r="H11" s="14">
        <f>PRODUCT(H10*0.38)</f>
        <v>16519.1548</v>
      </c>
      <c r="I11" s="17">
        <f>PRODUCT(I10*0.38)</f>
        <v>5295.3</v>
      </c>
      <c r="J11" s="17">
        <f>PRODUCT(J10*0.38)</f>
        <v>1826.6904</v>
      </c>
    </row>
    <row r="12" spans="1:11" x14ac:dyDescent="0.25">
      <c r="A12" s="6" t="s">
        <v>8</v>
      </c>
      <c r="B12" s="7">
        <f>SUM(B10:B11)</f>
        <v>148212</v>
      </c>
      <c r="E12" s="6" t="s">
        <v>8</v>
      </c>
      <c r="F12" s="15">
        <f>SUM(F10:F11)</f>
        <v>148212</v>
      </c>
      <c r="G12" s="15">
        <f>SUM(G10:G11)</f>
        <v>62357.3148</v>
      </c>
      <c r="H12" s="15">
        <f>SUM(H10:H11)</f>
        <v>59990.614799999996</v>
      </c>
      <c r="I12" s="15">
        <f>SUM(I10:I11)</f>
        <v>19230.3</v>
      </c>
      <c r="J12" s="15">
        <f>SUM(J10:J11)</f>
        <v>6633.7703999999994</v>
      </c>
    </row>
    <row r="13" spans="1:11" x14ac:dyDescent="0.25">
      <c r="A13" s="1"/>
      <c r="B13" s="2"/>
      <c r="E13" s="1"/>
      <c r="F13" s="14"/>
      <c r="G13" s="14"/>
      <c r="H13" s="14"/>
      <c r="I13" s="17"/>
      <c r="J13" s="17"/>
    </row>
    <row r="14" spans="1:11" ht="30" customHeight="1" x14ac:dyDescent="0.25">
      <c r="A14" s="3" t="s">
        <v>10</v>
      </c>
      <c r="B14" s="4">
        <f>PRODUCT(B8*0.21)</f>
        <v>35910</v>
      </c>
      <c r="E14" s="3" t="s">
        <v>10</v>
      </c>
      <c r="F14" s="19">
        <f>SUM(G14:J14)</f>
        <v>36036</v>
      </c>
      <c r="G14" s="14">
        <f>PRODUCT(G8*0.21)</f>
        <v>27735.75</v>
      </c>
      <c r="H14" s="14">
        <f>PRODUCT(H8*0.21)</f>
        <v>7465.5</v>
      </c>
      <c r="I14" s="17">
        <f>PRODUCT(I8*0.21)</f>
        <v>708.75</v>
      </c>
      <c r="J14" s="17">
        <f>PRODUCT(J8*0.21)</f>
        <v>126</v>
      </c>
    </row>
    <row r="15" spans="1:11" x14ac:dyDescent="0.25">
      <c r="A15" s="1"/>
      <c r="B15" s="2"/>
      <c r="E15" s="1"/>
      <c r="F15" s="14"/>
      <c r="G15" s="14"/>
      <c r="H15" s="14"/>
      <c r="I15" s="17"/>
      <c r="J15" s="17"/>
    </row>
    <row r="16" spans="1:11" ht="29.25" x14ac:dyDescent="0.25">
      <c r="A16" s="1"/>
      <c r="B16" s="2"/>
      <c r="E16" s="3" t="s">
        <v>17</v>
      </c>
      <c r="F16" s="14">
        <f>SUM(G16:J16)</f>
        <v>-726</v>
      </c>
      <c r="G16" s="14">
        <v>0</v>
      </c>
      <c r="H16" s="14">
        <v>0</v>
      </c>
      <c r="I16" s="17">
        <v>0</v>
      </c>
      <c r="J16" s="17">
        <f>SUM( -726)</f>
        <v>-726</v>
      </c>
    </row>
    <row r="17" spans="1:10" ht="15.75" thickBot="1" x14ac:dyDescent="0.3">
      <c r="A17" s="8" t="s">
        <v>11</v>
      </c>
      <c r="B17" s="9">
        <f>SUM(B8,B12,B14)</f>
        <v>355122</v>
      </c>
      <c r="E17" s="8" t="s">
        <v>11</v>
      </c>
      <c r="F17" s="16">
        <f>SUM(F8,F12,F14,F16)</f>
        <v>355122</v>
      </c>
      <c r="G17" s="16">
        <f>SUM(G8,G12,G14,G16)</f>
        <v>222168.06479999999</v>
      </c>
      <c r="H17" s="16">
        <f>SUM(H8,H12,H14,H16)</f>
        <v>103006.1148</v>
      </c>
      <c r="I17" s="16">
        <f>SUM(I8,I12,I14,I16)</f>
        <v>23314.05</v>
      </c>
      <c r="J17" s="16">
        <f>SUM(J8,J12,J14,J16)</f>
        <v>6633.7703999999994</v>
      </c>
    </row>
    <row r="20" spans="1:10" x14ac:dyDescent="0.25">
      <c r="E20" s="24" t="s">
        <v>20</v>
      </c>
      <c r="F20" s="24"/>
    </row>
    <row r="21" spans="1:10" ht="31.5" customHeight="1" x14ac:dyDescent="0.25">
      <c r="E21" s="11" t="s">
        <v>24</v>
      </c>
      <c r="F21" s="11" t="s">
        <v>2</v>
      </c>
    </row>
    <row r="22" spans="1:10" x14ac:dyDescent="0.25">
      <c r="E22" s="1"/>
      <c r="F22" s="1"/>
    </row>
    <row r="23" spans="1:10" x14ac:dyDescent="0.25">
      <c r="E23" s="1" t="s">
        <v>4</v>
      </c>
      <c r="F23" s="2">
        <v>600</v>
      </c>
    </row>
    <row r="24" spans="1:10" ht="29.25" x14ac:dyDescent="0.25">
      <c r="E24" s="3" t="s">
        <v>10</v>
      </c>
      <c r="F24" s="2">
        <f>PRODUCT(F23,0.21)</f>
        <v>126</v>
      </c>
    </row>
    <row r="25" spans="1:10" x14ac:dyDescent="0.25">
      <c r="E25" s="1" t="s">
        <v>7</v>
      </c>
      <c r="F25" s="2">
        <v>4807.08</v>
      </c>
    </row>
    <row r="26" spans="1:10" x14ac:dyDescent="0.25">
      <c r="E26" s="1" t="s">
        <v>9</v>
      </c>
      <c r="F26" s="2">
        <f>PRODUCT(F25,0.38)</f>
        <v>1826.6904</v>
      </c>
    </row>
    <row r="27" spans="1:10" x14ac:dyDescent="0.25">
      <c r="E27" s="1" t="s">
        <v>21</v>
      </c>
      <c r="F27" s="2">
        <v>-726</v>
      </c>
    </row>
    <row r="28" spans="1:10" x14ac:dyDescent="0.25">
      <c r="E28" s="6" t="s">
        <v>25</v>
      </c>
      <c r="F28" s="7">
        <f>SUM(F23:F27)</f>
        <v>6633.7703999999994</v>
      </c>
    </row>
    <row r="29" spans="1:10" x14ac:dyDescent="0.25">
      <c r="E29" s="1"/>
      <c r="F29" s="2"/>
    </row>
    <row r="30" spans="1:10" ht="29.25" x14ac:dyDescent="0.25">
      <c r="E30" s="3" t="s">
        <v>26</v>
      </c>
      <c r="F30" s="2">
        <f>10*40000*0.1*0.028</f>
        <v>1120</v>
      </c>
    </row>
    <row r="31" spans="1:10" ht="29.25" x14ac:dyDescent="0.25">
      <c r="E31" s="3" t="s">
        <v>27</v>
      </c>
      <c r="F31" s="2">
        <f>PRODUCT(B17*0.02)</f>
        <v>7102.4400000000005</v>
      </c>
    </row>
    <row r="32" spans="1:10" x14ac:dyDescent="0.25">
      <c r="E32" s="6" t="s">
        <v>22</v>
      </c>
      <c r="F32" s="7">
        <f>SUM(F30:F31)</f>
        <v>8222.44</v>
      </c>
    </row>
    <row r="33" spans="5:10" x14ac:dyDescent="0.25">
      <c r="E33" s="1"/>
      <c r="F33" s="2"/>
    </row>
    <row r="34" spans="5:10" ht="15.75" thickBot="1" x14ac:dyDescent="0.3">
      <c r="E34" s="20" t="s">
        <v>23</v>
      </c>
      <c r="F34" s="21">
        <f>SUM(-F28,F32)</f>
        <v>1588.6696000000011</v>
      </c>
    </row>
    <row r="35" spans="5:10" x14ac:dyDescent="0.25">
      <c r="E35" s="1"/>
      <c r="F35" s="2"/>
    </row>
  </sheetData>
  <mergeCells count="3">
    <mergeCell ref="A1:B1"/>
    <mergeCell ref="E1:J1"/>
    <mergeCell ref="E20:F20"/>
  </mergeCells>
  <pageMargins left="0.7" right="0.7" top="0.75" bottom="0.75" header="0.3" footer="0.3"/>
  <pageSetup orientation="landscape" r:id="rId1"/>
  <ignoredErrors>
    <ignoredError sqref="I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25" sqref="H25"/>
    </sheetView>
  </sheetViews>
  <sheetFormatPr defaultRowHeight="15" x14ac:dyDescent="0.25"/>
  <cols>
    <col min="1" max="1" width="26.28515625" customWidth="1"/>
    <col min="2" max="2" width="15.5703125" customWidth="1"/>
    <col min="5" max="5" width="25.42578125" customWidth="1"/>
    <col min="6" max="10" width="18.7109375" customWidth="1"/>
    <col min="12" max="12" width="12.140625" customWidth="1"/>
    <col min="13" max="13" width="11.140625" customWidth="1"/>
  </cols>
  <sheetData>
    <row r="1" spans="1:11" x14ac:dyDescent="0.25">
      <c r="A1" s="24" t="s">
        <v>0</v>
      </c>
      <c r="B1" s="24"/>
      <c r="E1" s="24" t="s">
        <v>28</v>
      </c>
      <c r="F1" s="24"/>
      <c r="G1" s="24"/>
      <c r="H1" s="24"/>
      <c r="I1" s="24"/>
      <c r="J1" s="24"/>
    </row>
    <row r="2" spans="1:11" ht="35.1" customHeight="1" x14ac:dyDescent="0.25">
      <c r="A2" s="11" t="s">
        <v>1</v>
      </c>
      <c r="B2" s="11" t="s">
        <v>2</v>
      </c>
      <c r="E2" s="11" t="s">
        <v>18</v>
      </c>
      <c r="F2" s="11" t="s">
        <v>2</v>
      </c>
      <c r="G2" s="12" t="s">
        <v>13</v>
      </c>
      <c r="H2" s="12" t="s">
        <v>14</v>
      </c>
      <c r="I2" s="12" t="s">
        <v>15</v>
      </c>
      <c r="J2" s="12" t="s">
        <v>19</v>
      </c>
    </row>
    <row r="3" spans="1:11" x14ac:dyDescent="0.25">
      <c r="A3" s="1"/>
      <c r="B3" s="1"/>
      <c r="E3" s="1"/>
      <c r="F3" s="1"/>
      <c r="G3" s="5"/>
      <c r="H3" s="5"/>
      <c r="I3" s="5"/>
      <c r="J3" s="18"/>
    </row>
    <row r="4" spans="1:11" x14ac:dyDescent="0.25">
      <c r="A4" s="1" t="s">
        <v>3</v>
      </c>
      <c r="B4" s="2">
        <v>156000</v>
      </c>
      <c r="E4" s="1" t="s">
        <v>3</v>
      </c>
      <c r="F4" s="14">
        <f>SUM(G4:J4)</f>
        <v>156000</v>
      </c>
      <c r="G4" s="14">
        <f>PRODUCT(B4*0.8)</f>
        <v>124800</v>
      </c>
      <c r="H4" s="14">
        <f>PRODUCT(B4*0.2)</f>
        <v>31200</v>
      </c>
      <c r="I4" s="17">
        <f>PRODUCT(B4*0)</f>
        <v>0</v>
      </c>
      <c r="J4" s="17">
        <v>0</v>
      </c>
    </row>
    <row r="5" spans="1:11" x14ac:dyDescent="0.25">
      <c r="A5" s="1" t="s">
        <v>4</v>
      </c>
      <c r="B5" s="2">
        <v>9300</v>
      </c>
      <c r="E5" s="1" t="s">
        <v>4</v>
      </c>
      <c r="F5" s="14">
        <f>SUM(G5:J5)</f>
        <v>9900</v>
      </c>
      <c r="G5" s="14">
        <f>PRODUCT(B5*0.6)</f>
        <v>5580</v>
      </c>
      <c r="H5" s="14">
        <f>PRODUCT(B5*0.1)</f>
        <v>930</v>
      </c>
      <c r="I5" s="17">
        <f>PRODUCT(B5*0.3)</f>
        <v>2790</v>
      </c>
      <c r="J5" s="17">
        <v>600</v>
      </c>
      <c r="K5" s="13"/>
    </row>
    <row r="6" spans="1:11" x14ac:dyDescent="0.25">
      <c r="A6" s="1" t="s">
        <v>5</v>
      </c>
      <c r="B6" s="2">
        <v>4500</v>
      </c>
      <c r="E6" s="1" t="s">
        <v>5</v>
      </c>
      <c r="F6" s="14">
        <f>SUM(G6:J6)</f>
        <v>4500</v>
      </c>
      <c r="G6" s="14">
        <f>PRODUCT(B6*0.35)</f>
        <v>1575</v>
      </c>
      <c r="H6" s="14">
        <f>PRODUCT(B6*0.6)</f>
        <v>2700</v>
      </c>
      <c r="I6" s="17">
        <f>PRODUCT(B6*0.05)</f>
        <v>225</v>
      </c>
      <c r="J6" s="17">
        <v>0</v>
      </c>
    </row>
    <row r="7" spans="1:11" x14ac:dyDescent="0.25">
      <c r="A7" s="1" t="s">
        <v>6</v>
      </c>
      <c r="B7" s="2">
        <v>1200</v>
      </c>
      <c r="E7" s="1" t="s">
        <v>6</v>
      </c>
      <c r="F7" s="14">
        <f>SUM(G7:J7)</f>
        <v>1200</v>
      </c>
      <c r="G7" s="14">
        <f>PRODUCT(B7*0.1)</f>
        <v>120</v>
      </c>
      <c r="H7" s="14">
        <f>PRODUCT(B7*0.6)</f>
        <v>720</v>
      </c>
      <c r="I7" s="17">
        <f>PRODUCT(B7*0.3)</f>
        <v>360</v>
      </c>
      <c r="J7" s="17">
        <v>0</v>
      </c>
    </row>
    <row r="8" spans="1:11" x14ac:dyDescent="0.25">
      <c r="A8" s="6" t="s">
        <v>8</v>
      </c>
      <c r="B8" s="7">
        <f>SUM(B4:B7)</f>
        <v>171000</v>
      </c>
      <c r="E8" s="6" t="s">
        <v>8</v>
      </c>
      <c r="F8" s="15">
        <f>SUM(F4:F7)</f>
        <v>171600</v>
      </c>
      <c r="G8" s="15">
        <f>SUM(G4:G7)</f>
        <v>132075</v>
      </c>
      <c r="H8" s="15">
        <f>SUM(H4:H7)</f>
        <v>35550</v>
      </c>
      <c r="I8" s="15">
        <f>SUM(I4:I7)</f>
        <v>3375</v>
      </c>
      <c r="J8" s="15">
        <f>SUM(J4:J7)</f>
        <v>600</v>
      </c>
    </row>
    <row r="9" spans="1:11" x14ac:dyDescent="0.25">
      <c r="A9" s="1"/>
      <c r="B9" s="2"/>
      <c r="E9" s="1"/>
      <c r="F9" s="14"/>
      <c r="G9" s="14"/>
      <c r="H9" s="14"/>
      <c r="I9" s="17"/>
      <c r="J9" s="17"/>
    </row>
    <row r="10" spans="1:11" x14ac:dyDescent="0.25">
      <c r="A10" s="1" t="s">
        <v>7</v>
      </c>
      <c r="B10" s="2">
        <v>107400</v>
      </c>
      <c r="E10" s="1" t="s">
        <v>7</v>
      </c>
      <c r="F10" s="14">
        <f>SUM(G10:J10)</f>
        <v>107400</v>
      </c>
      <c r="G10" s="14">
        <f>SUM((60500*0.45)+(27700*0.25)+(19200*0.7)-2403.54)</f>
        <v>45186.46</v>
      </c>
      <c r="H10" s="14">
        <f>SUM((60500*0.45)+(27700*0.5)+(19200*0.25)-2403.54)</f>
        <v>43471.46</v>
      </c>
      <c r="I10" s="17">
        <f>SUM((60500*0.1)+(27700*0.25)+(19200*0.05))</f>
        <v>13935</v>
      </c>
      <c r="J10" s="17">
        <f>SUM(3403.08+924+480)</f>
        <v>4807.08</v>
      </c>
    </row>
    <row r="11" spans="1:11" x14ac:dyDescent="0.25">
      <c r="A11" s="1" t="s">
        <v>9</v>
      </c>
      <c r="B11" s="2">
        <f>PRODUCT(B10*0.38)</f>
        <v>40812</v>
      </c>
      <c r="E11" s="1" t="s">
        <v>9</v>
      </c>
      <c r="F11" s="14">
        <f>SUM(G11:J11)</f>
        <v>40812.000000000007</v>
      </c>
      <c r="G11" s="14">
        <f>PRODUCT(G10*0.38)</f>
        <v>17170.854800000001</v>
      </c>
      <c r="H11" s="14">
        <f>PRODUCT(H10*0.38)</f>
        <v>16519.1548</v>
      </c>
      <c r="I11" s="17">
        <f>PRODUCT(I10*0.38)</f>
        <v>5295.3</v>
      </c>
      <c r="J11" s="17">
        <f>PRODUCT(J10*0.38)</f>
        <v>1826.6904</v>
      </c>
    </row>
    <row r="12" spans="1:11" x14ac:dyDescent="0.25">
      <c r="A12" s="6" t="s">
        <v>8</v>
      </c>
      <c r="B12" s="7">
        <f>SUM(B10:B11)</f>
        <v>148212</v>
      </c>
    </row>
    <row r="13" spans="1:11" x14ac:dyDescent="0.25">
      <c r="A13" s="1"/>
      <c r="B13" s="2"/>
      <c r="E13" s="1" t="s">
        <v>29</v>
      </c>
      <c r="F13" s="22">
        <f>SUM(G13:J13)</f>
        <v>3221.9999999999995</v>
      </c>
      <c r="G13" s="22">
        <f t="shared" ref="G13:J14" si="0">0.03*G10</f>
        <v>1355.5937999999999</v>
      </c>
      <c r="H13" s="22">
        <f t="shared" si="0"/>
        <v>1304.1437999999998</v>
      </c>
      <c r="I13" s="22">
        <f t="shared" si="0"/>
        <v>418.05</v>
      </c>
      <c r="J13" s="22">
        <f t="shared" si="0"/>
        <v>144.2124</v>
      </c>
    </row>
    <row r="14" spans="1:11" ht="29.25" x14ac:dyDescent="0.25">
      <c r="A14" s="1"/>
      <c r="B14" s="2"/>
      <c r="E14" s="3" t="s">
        <v>30</v>
      </c>
      <c r="F14" s="14">
        <f>SUM(G14:J14)</f>
        <v>1224.3599999999999</v>
      </c>
      <c r="G14" s="14">
        <f t="shared" si="0"/>
        <v>515.12564399999997</v>
      </c>
      <c r="H14" s="14">
        <f t="shared" si="0"/>
        <v>495.57464399999998</v>
      </c>
      <c r="I14" s="17">
        <f t="shared" si="0"/>
        <v>158.85900000000001</v>
      </c>
      <c r="J14" s="17">
        <f t="shared" si="0"/>
        <v>54.800711999999997</v>
      </c>
    </row>
    <row r="15" spans="1:11" x14ac:dyDescent="0.25">
      <c r="A15" s="1"/>
      <c r="B15" s="2"/>
      <c r="E15" s="6" t="s">
        <v>8</v>
      </c>
      <c r="F15" s="15">
        <f>SUM(F10:F14)</f>
        <v>152658.35999999999</v>
      </c>
      <c r="G15" s="15">
        <f>SUM(G10:G14)</f>
        <v>64228.034244000002</v>
      </c>
      <c r="H15" s="15">
        <f>SUM(H10:H14)</f>
        <v>61790.333243999994</v>
      </c>
      <c r="I15" s="15">
        <f>SUM(I10:I14)</f>
        <v>19807.208999999999</v>
      </c>
      <c r="J15" s="15">
        <f>SUM(J10:J14)</f>
        <v>6832.783512</v>
      </c>
    </row>
    <row r="16" spans="1:11" x14ac:dyDescent="0.25">
      <c r="A16" s="1"/>
      <c r="B16" s="2"/>
      <c r="E16" s="1"/>
      <c r="F16" s="14"/>
      <c r="G16" s="14"/>
      <c r="H16" s="14"/>
      <c r="I16" s="17"/>
      <c r="J16" s="17"/>
    </row>
    <row r="17" spans="1:10" x14ac:dyDescent="0.25">
      <c r="A17" s="1"/>
      <c r="B17" s="2"/>
      <c r="E17" s="1"/>
      <c r="F17" s="14"/>
      <c r="G17" s="14"/>
      <c r="H17" s="14"/>
      <c r="I17" s="17"/>
      <c r="J17" s="17"/>
    </row>
    <row r="18" spans="1:10" ht="30" customHeight="1" x14ac:dyDescent="0.25">
      <c r="A18" s="3" t="s">
        <v>10</v>
      </c>
      <c r="B18" s="4">
        <f>PRODUCT(B8*0.21)</f>
        <v>35910</v>
      </c>
      <c r="E18" s="3" t="s">
        <v>10</v>
      </c>
      <c r="F18" s="19">
        <f>SUM(G18:J18)</f>
        <v>36036</v>
      </c>
      <c r="G18" s="14">
        <f>PRODUCT(G8*0.21)</f>
        <v>27735.75</v>
      </c>
      <c r="H18" s="14">
        <f>PRODUCT(H8*0.21)</f>
        <v>7465.5</v>
      </c>
      <c r="I18" s="17">
        <f>PRODUCT(I8*0.21)</f>
        <v>708.75</v>
      </c>
      <c r="J18" s="17">
        <f>PRODUCT(J8*0.21)</f>
        <v>126</v>
      </c>
    </row>
    <row r="19" spans="1:10" x14ac:dyDescent="0.25">
      <c r="A19" s="1"/>
      <c r="B19" s="2"/>
      <c r="E19" s="1"/>
      <c r="F19" s="14"/>
      <c r="G19" s="14"/>
      <c r="H19" s="14"/>
      <c r="I19" s="17"/>
      <c r="J19" s="17"/>
    </row>
    <row r="20" spans="1:10" ht="29.25" x14ac:dyDescent="0.25">
      <c r="A20" s="1"/>
      <c r="B20" s="2"/>
      <c r="E20" s="3" t="s">
        <v>17</v>
      </c>
      <c r="F20" s="14">
        <f>SUM(G20:J20)</f>
        <v>-726</v>
      </c>
      <c r="G20" s="14">
        <v>0</v>
      </c>
      <c r="H20" s="14">
        <v>0</v>
      </c>
      <c r="I20" s="17">
        <v>0</v>
      </c>
      <c r="J20" s="17">
        <f>SUM( -726)</f>
        <v>-726</v>
      </c>
    </row>
    <row r="21" spans="1:10" ht="15.75" thickBot="1" x14ac:dyDescent="0.3">
      <c r="A21" s="8" t="s">
        <v>11</v>
      </c>
      <c r="B21" s="9">
        <f>SUM(B8,B12,B18)</f>
        <v>355122</v>
      </c>
      <c r="E21" s="8" t="s">
        <v>11</v>
      </c>
      <c r="F21" s="16">
        <f>SUM(F8,F15,F18,F20)</f>
        <v>359568.36</v>
      </c>
      <c r="G21" s="16">
        <f>SUM(G8,G15,G18,G20)</f>
        <v>224038.78424400001</v>
      </c>
      <c r="H21" s="16">
        <f>SUM(H8,H15,H18,H20)</f>
        <v>104805.83324399999</v>
      </c>
      <c r="I21" s="16">
        <f>SUM(I8,I15,I18,I20)</f>
        <v>23890.958999999999</v>
      </c>
      <c r="J21" s="16">
        <f>SUM(J8,J15,J18,J20)</f>
        <v>6832.783512</v>
      </c>
    </row>
    <row r="25" spans="1:10" ht="18" customHeight="1" x14ac:dyDescent="0.25"/>
  </sheetData>
  <mergeCells count="2">
    <mergeCell ref="A1:B1"/>
    <mergeCell ref="E1:J1"/>
  </mergeCells>
  <pageMargins left="0.7" right="0.7" top="0.75" bottom="0.75" header="0.3" footer="0.3"/>
  <pageSetup orientation="landscape" r:id="rId1"/>
  <ignoredErrors>
    <ignoredError sqref="I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Sheet1--Line Item and Program</vt:lpstr>
      <vt:lpstr>Sheet2--Program with New Servic</vt:lpstr>
      <vt:lpstr>Sheet3--Salary Increase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Renee</cp:lastModifiedBy>
  <cp:lastPrinted>2012-11-01T20:30:40Z</cp:lastPrinted>
  <dcterms:created xsi:type="dcterms:W3CDTF">2012-10-29T20:45:30Z</dcterms:created>
  <dcterms:modified xsi:type="dcterms:W3CDTF">2013-04-12T18:15:27Z</dcterms:modified>
</cp:coreProperties>
</file>